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0210"/>
  <workbookPr/>
  <mc:AlternateContent xmlns:mc="http://schemas.openxmlformats.org/markup-compatibility/2006">
    <mc:Choice Requires="x15">
      <x15ac:absPath xmlns:x15ac="http://schemas.microsoft.com/office/spreadsheetml/2010/11/ac" url="/Users/slocum/Dropbox (MIT)/2.70 Spring 2018/2.70 Spring 2018 Student/Students folders/Harlalka,A/Week 10/"/>
    </mc:Choice>
  </mc:AlternateContent>
  <bookViews>
    <workbookView xWindow="780" yWindow="460" windowWidth="24440" windowHeight="14800"/>
  </bookViews>
  <sheets>
    <sheet name="Stiffness Calculations" sheetId="1" r:id="rId1"/>
    <sheet name="Leadscrew Calculations" sheetId="2" r:id="rId2"/>
    <sheet name="Handwheel Selection" sheetId="3"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4" i="1" l="1"/>
  <c r="B7" i="3" l="1"/>
  <c r="B4" i="3"/>
  <c r="B6" i="3" s="1"/>
  <c r="B9" i="3" s="1"/>
  <c r="B11" i="3" s="1"/>
  <c r="B138" i="2"/>
  <c r="B149" i="2" s="1"/>
  <c r="B17" i="2"/>
  <c r="B11" i="2"/>
  <c r="B13" i="2"/>
  <c r="B46" i="1"/>
  <c r="B23" i="1"/>
  <c r="B24" i="1"/>
  <c r="B47" i="1"/>
  <c r="B40" i="1"/>
  <c r="B41" i="1"/>
  <c r="B42" i="1" s="1"/>
  <c r="B43" i="1" s="1"/>
  <c r="B49" i="1" s="1"/>
  <c r="B50" i="1" s="1"/>
  <c r="B51" i="1" s="1"/>
  <c r="B61" i="1"/>
  <c r="B63" i="1"/>
  <c r="B66" i="1" s="1"/>
  <c r="B64" i="1"/>
  <c r="B65" i="1"/>
  <c r="B29" i="1"/>
  <c r="B52" i="1" l="1"/>
  <c r="B53" i="1" s="1"/>
</calcChain>
</file>

<file path=xl/sharedStrings.xml><?xml version="1.0" encoding="utf-8"?>
<sst xmlns="http://schemas.openxmlformats.org/spreadsheetml/2006/main" count="172" uniqueCount="123">
  <si>
    <t>Bearing Stiffness</t>
  </si>
  <si>
    <t xml:space="preserve">Bearing used </t>
  </si>
  <si>
    <t>608 RS</t>
  </si>
  <si>
    <t>Type</t>
  </si>
  <si>
    <t>Deep Groove</t>
  </si>
  <si>
    <t>Ball diameter</t>
  </si>
  <si>
    <t>mm</t>
  </si>
  <si>
    <t>Units</t>
  </si>
  <si>
    <t>Dynamic Load Capacity</t>
  </si>
  <si>
    <t>N</t>
  </si>
  <si>
    <t>N/mm</t>
  </si>
  <si>
    <t>Housing Stiffness - modelled as Cantilever</t>
  </si>
  <si>
    <t xml:space="preserve">Material of the Housing </t>
  </si>
  <si>
    <t>Aluminium</t>
  </si>
  <si>
    <t xml:space="preserve">Elastic Modulus </t>
  </si>
  <si>
    <t>Mpa</t>
  </si>
  <si>
    <t>Moment of Inertia</t>
  </si>
  <si>
    <t>Width</t>
  </si>
  <si>
    <t xml:space="preserve">Height </t>
  </si>
  <si>
    <t>Thickness</t>
  </si>
  <si>
    <t>mm^4</t>
  </si>
  <si>
    <t xml:space="preserve">Stiffness </t>
  </si>
  <si>
    <t>Joint Stiffness</t>
  </si>
  <si>
    <t>Strain Cone Angle</t>
  </si>
  <si>
    <t>deg</t>
  </si>
  <si>
    <t>Elastic modulus of the first member (E1)</t>
  </si>
  <si>
    <t>Material for the first member</t>
  </si>
  <si>
    <t>Thickness of the first member (h1)</t>
  </si>
  <si>
    <t>Diameter of the bore</t>
  </si>
  <si>
    <t>Compliance of First member</t>
  </si>
  <si>
    <t>Strain Cone Angle ( in radians)</t>
  </si>
  <si>
    <t>Diameter of the head</t>
  </si>
  <si>
    <t>Compliance Calculation by integration from Wolfram Alpha</t>
  </si>
  <si>
    <t>Integral Value (from Wolfram Alpha)</t>
  </si>
  <si>
    <t>Compliance of Second member</t>
  </si>
  <si>
    <t>Thickness of the second member (h2)</t>
  </si>
  <si>
    <t>Material for the second member</t>
  </si>
  <si>
    <t>Elastic modulus of the second member (E2)</t>
  </si>
  <si>
    <t>Wood</t>
  </si>
  <si>
    <t>MPa</t>
  </si>
  <si>
    <t>Total Compliance of the joint</t>
  </si>
  <si>
    <t>mm/N</t>
  </si>
  <si>
    <t>Does not make sense !! - Need to verify</t>
  </si>
  <si>
    <t>Total Stiffness Calculation</t>
  </si>
  <si>
    <t>Compliance from Bearing</t>
  </si>
  <si>
    <t>Compliance from Housing</t>
  </si>
  <si>
    <t>Total Compliance of the structure</t>
  </si>
  <si>
    <t xml:space="preserve"> The joint stiffness calculation seems to be very sensitive to the strain cone angle and the diameter of the head. How can we find this angle deterministically? Is there an obvious relation between the strain cone angle and the torque applied?</t>
  </si>
  <si>
    <t>Stiffness Calculations and Testing</t>
  </si>
  <si>
    <t xml:space="preserve">Testing Results </t>
  </si>
  <si>
    <t xml:space="preserve">Force </t>
  </si>
  <si>
    <t xml:space="preserve">Moment Arm </t>
  </si>
  <si>
    <t>Torque</t>
  </si>
  <si>
    <t>Nmm</t>
  </si>
  <si>
    <t>Deflection at the point of application of force</t>
  </si>
  <si>
    <t>Dial reading for deflection at the point of application of force</t>
  </si>
  <si>
    <t>divisions</t>
  </si>
  <si>
    <t>Angular deviation</t>
  </si>
  <si>
    <t>mrad</t>
  </si>
  <si>
    <t>Nm/rad</t>
  </si>
  <si>
    <t>Axial Stiffness of the Joint</t>
  </si>
  <si>
    <t>Effective Width of the pillow block</t>
  </si>
  <si>
    <t>Pitch Stiffness of the Joint</t>
  </si>
  <si>
    <t>Nmm/rad</t>
  </si>
  <si>
    <t>Pitch Compliance of the joint</t>
  </si>
  <si>
    <t>rad/Nmm</t>
  </si>
  <si>
    <t>Compliance contribution from the joint in the direction of thrust force on leadscrew</t>
  </si>
  <si>
    <t>Stiffness in the direction of the thrust force</t>
  </si>
  <si>
    <t>Total Stiffness of the Structure in the direction of the thrust force</t>
  </si>
  <si>
    <t>Pitch Stiffness (total)</t>
  </si>
  <si>
    <t>Leadscrew Calculations</t>
  </si>
  <si>
    <t>Material of the leadscrew</t>
  </si>
  <si>
    <t>Stainless Steel</t>
  </si>
  <si>
    <t>Elastic Modulus</t>
  </si>
  <si>
    <t>*Note: I already had a leadscrew and anti-backlash nut in stock, so with this analysis I am checking whether these will be suitable for my slide</t>
  </si>
  <si>
    <t>Maximum Loaded Length</t>
  </si>
  <si>
    <t>Buckling Calculations</t>
  </si>
  <si>
    <t>Critical Buckling Load</t>
  </si>
  <si>
    <t>Actual Buckling load on Leadscrew</t>
  </si>
  <si>
    <t>Thrust Force from Cutting</t>
  </si>
  <si>
    <t>Horizontal Preload</t>
  </si>
  <si>
    <t>Friction Coefficient</t>
  </si>
  <si>
    <t>As Actual Load is much less than the critical buckling load the leadscrew will not fail via buckling</t>
  </si>
  <si>
    <t>Diameter</t>
  </si>
  <si>
    <t>Shaft Whip</t>
  </si>
  <si>
    <t>Static Failure Analysis</t>
  </si>
  <si>
    <t>Selected Leadscrew Characteristics</t>
  </si>
  <si>
    <t>Lead</t>
  </si>
  <si>
    <t>Material of Nut</t>
  </si>
  <si>
    <t>Brass</t>
  </si>
  <si>
    <t>Material of Leadscrew</t>
  </si>
  <si>
    <t xml:space="preserve">Coefficient of Friction </t>
  </si>
  <si>
    <t>Alpha</t>
  </si>
  <si>
    <t>degress</t>
  </si>
  <si>
    <t>Type of Thread</t>
  </si>
  <si>
    <t>Trapezoidal</t>
  </si>
  <si>
    <t>Pitch Diameter</t>
  </si>
  <si>
    <t xml:space="preserve">Length </t>
  </si>
  <si>
    <t>Anti-Backlash Procedure</t>
  </si>
  <si>
    <t>Spring Preload</t>
  </si>
  <si>
    <t>Check for Backdrivability</t>
  </si>
  <si>
    <t>Critical Lead</t>
  </si>
  <si>
    <t>Alpha (in radians)</t>
  </si>
  <si>
    <t>Actual lead of the screw</t>
  </si>
  <si>
    <t>As Actual lead &lt; Critical lead, leadscrew is not backdrivable</t>
  </si>
  <si>
    <t>Reason for selecting this leadscrew:</t>
  </si>
  <si>
    <t>a. Cheapest avaialable</t>
  </si>
  <si>
    <t>b. Came with Anti-backlash nut assembly</t>
  </si>
  <si>
    <t xml:space="preserve">c. Met the requirements for this design </t>
  </si>
  <si>
    <t>Handwheel Calculations</t>
  </si>
  <si>
    <t xml:space="preserve">Friction force between the carriage and the rail </t>
  </si>
  <si>
    <t xml:space="preserve">Thrust force on the lead screw </t>
  </si>
  <si>
    <t>Total force required to move the carriage</t>
  </si>
  <si>
    <t>Lead of the screw</t>
  </si>
  <si>
    <t>Efficiency of the lead screw</t>
  </si>
  <si>
    <t xml:space="preserve">Required Torque </t>
  </si>
  <si>
    <t>Max force user wants to apply on handwheel</t>
  </si>
  <si>
    <t>Required Diameter of the Handwheel</t>
  </si>
  <si>
    <t>RM Analysis Spreasheet</t>
  </si>
  <si>
    <t>Testing for Stiffness</t>
  </si>
  <si>
    <t>Better to say in formula "=B13/(0.01*B12)" so a reviewer more clearly sees where formula comes from</t>
  </si>
  <si>
    <t>not too off I would think…. If concerend about how sensitive it is--then brackt from 30 to 60 degrees….</t>
  </si>
  <si>
    <t>so it ws 3x more stiff than predicted--not too bad (to be conservative) given wood 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</si>
</sst>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E+00"/>
  </numFmts>
  <fonts count="6" x14ac:knownFonts="1">
    <font>
      <sz val="11"/>
      <color theme="1"/>
      <name val="Calibri"/>
      <family val="2"/>
      <scheme val="minor"/>
    </font>
    <font>
      <sz val="11"/>
      <color rgb="FFFF0000"/>
      <name val="Calibri"/>
      <family val="2"/>
      <scheme val="minor"/>
    </font>
    <font>
      <b/>
      <sz val="11"/>
      <color theme="1"/>
      <name val="Calibri"/>
      <family val="2"/>
      <scheme val="minor"/>
    </font>
    <font>
      <b/>
      <i/>
      <u/>
      <sz val="18"/>
      <color theme="1"/>
      <name val="Calibri"/>
      <family val="2"/>
      <scheme val="minor"/>
    </font>
    <font>
      <b/>
      <sz val="20"/>
      <color theme="1"/>
      <name val="Calibri"/>
      <family val="2"/>
      <scheme val="minor"/>
    </font>
    <font>
      <b/>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23">
    <xf numFmtId="0" fontId="0" fillId="0" borderId="0" xfId="0"/>
    <xf numFmtId="0" fontId="0" fillId="2" borderId="0" xfId="0" applyFill="1"/>
    <xf numFmtId="0" fontId="2" fillId="2" borderId="0" xfId="0" applyFont="1" applyFill="1"/>
    <xf numFmtId="0" fontId="2" fillId="3" borderId="0" xfId="0" applyFont="1" applyFill="1"/>
    <xf numFmtId="0" fontId="0" fillId="3" borderId="0" xfId="0" applyFill="1"/>
    <xf numFmtId="0" fontId="1" fillId="0" borderId="0" xfId="0" applyFont="1"/>
    <xf numFmtId="2" fontId="0" fillId="0" borderId="0" xfId="0" applyNumberFormat="1"/>
    <xf numFmtId="165" fontId="0" fillId="0" borderId="0" xfId="0" applyNumberFormat="1"/>
    <xf numFmtId="0" fontId="2" fillId="0" borderId="0" xfId="0" applyFont="1"/>
    <xf numFmtId="0" fontId="0" fillId="0" borderId="0" xfId="0" applyAlignment="1">
      <alignment horizontal="right"/>
    </xf>
    <xf numFmtId="0" fontId="1" fillId="0" borderId="0" xfId="0" applyFont="1" applyAlignment="1">
      <alignment horizontal="right"/>
    </xf>
    <xf numFmtId="0" fontId="0" fillId="3" borderId="0" xfId="0" applyFill="1" applyAlignment="1">
      <alignment horizontal="right"/>
    </xf>
    <xf numFmtId="0" fontId="3" fillId="0" borderId="0" xfId="0" applyFont="1"/>
    <xf numFmtId="0" fontId="4" fillId="3" borderId="0" xfId="0" applyFont="1" applyFill="1"/>
    <xf numFmtId="165" fontId="1" fillId="0" borderId="0" xfId="0" applyNumberFormat="1" applyFont="1" applyAlignment="1">
      <alignment horizontal="right"/>
    </xf>
    <xf numFmtId="166" fontId="0" fillId="0" borderId="0" xfId="0" applyNumberFormat="1"/>
    <xf numFmtId="166" fontId="1" fillId="0" borderId="0" xfId="0" applyNumberFormat="1" applyFont="1"/>
    <xf numFmtId="0" fontId="5" fillId="3" borderId="0" xfId="0" applyFont="1" applyFill="1"/>
    <xf numFmtId="164" fontId="1" fillId="0" borderId="0" xfId="0" applyNumberFormat="1" applyFont="1"/>
    <xf numFmtId="165" fontId="1" fillId="0" borderId="0" xfId="0" applyNumberFormat="1" applyFont="1"/>
    <xf numFmtId="1" fontId="0" fillId="0" borderId="0" xfId="0" applyNumberFormat="1"/>
    <xf numFmtId="0" fontId="0" fillId="4" borderId="0" xfId="0" applyFill="1"/>
    <xf numFmtId="0" fontId="0" fillId="0" borderId="0" xfId="0"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171551</xdr:colOff>
      <xdr:row>27</xdr:row>
      <xdr:rowOff>133078</xdr:rowOff>
    </xdr:from>
    <xdr:to>
      <xdr:col>7</xdr:col>
      <xdr:colOff>0</xdr:colOff>
      <xdr:row>36</xdr:row>
      <xdr:rowOff>28574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40000"/>
                  </a14:imgEffect>
                </a14:imgLayer>
              </a14:imgProps>
            </a:ext>
          </a:extLst>
        </a:blip>
        <a:stretch>
          <a:fillRect/>
        </a:stretch>
      </xdr:blipFill>
      <xdr:spPr>
        <a:xfrm rot="16200000">
          <a:off x="5748253" y="5110076"/>
          <a:ext cx="1590946" cy="2419249"/>
        </a:xfrm>
        <a:prstGeom prst="rect">
          <a:avLst/>
        </a:prstGeom>
      </xdr:spPr>
    </xdr:pic>
    <xdr:clientData/>
  </xdr:twoCellAnchor>
  <xdr:twoCellAnchor editAs="oneCell">
    <xdr:from>
      <xdr:col>7</xdr:col>
      <xdr:colOff>167884</xdr:colOff>
      <xdr:row>27</xdr:row>
      <xdr:rowOff>123824</xdr:rowOff>
    </xdr:from>
    <xdr:to>
      <xdr:col>11</xdr:col>
      <xdr:colOff>523875</xdr:colOff>
      <xdr:row>36</xdr:row>
      <xdr:rowOff>6153</xdr:rowOff>
    </xdr:to>
    <xdr:pic>
      <xdr:nvPicPr>
        <xdr:cNvPr id="3" name="Picture 2" descr="https://lh3.googleusercontent.com/x2RsKO0JPDLnfBNWj1NY3a7Nqr9zrdToLEV550-kiy3FinI7DDRd21ZxLBrjhloys4gZ0R-GFCoJ0LpvheBNhMqWBGlvBaUWzZXtjutU99osx5WzAY4McL4I_Mc63PDzNvg1TEfd-yQLYjib47lUlTUGlY5Y0PHPBCAdRRNqzzTODs95BYXb3ltBIDTBCm6V1AZhnHPEVDZwOSiwfu5CcthVNS8b_Y_I0ZApys07XG4adBygG5eJWiSu-a9HWE5SkahVkjRfwGF2eI5D2v6aruuuEkVl6EAy7LCj5yTTcwvcei2bv_SmJK8HuttiZYE095HkyPk8-SgHhAJJjXlfmYwBnO3rHaTgg057ylbvNBi52gkWR4HPOe0GJ_UBdTp25ciO_NBKJb4FX9PDN8Jlc9VgOxR_dJO0Ap2XQa3G4a5QZ0Z_HC5SChuvbMabu64F_U0OZ_QjSsINDCGiRNa0YXbIH9Lod4iN_V6gWAqohSuM7R3l3fA1bivHmWKhKX78H1BFyB9PL0ZQQx2et31--3u1b4DKkQVXvbozwc4yGJtGOA7Q9zc21pc5V7Db0yi0IdDnL4tOTRUv_AkG2-AzH5ZUPuY0XRfkoMyGdKcE=w1259-h708-n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21234" y="5514974"/>
          <a:ext cx="2794391" cy="1571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55</xdr:row>
      <xdr:rowOff>171450</xdr:rowOff>
    </xdr:from>
    <xdr:to>
      <xdr:col>9</xdr:col>
      <xdr:colOff>399646</xdr:colOff>
      <xdr:row>86</xdr:row>
      <xdr:rowOff>46902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6143625" y="10810875"/>
          <a:ext cx="3228571" cy="5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10</xdr:col>
      <xdr:colOff>562042</xdr:colOff>
      <xdr:row>45</xdr:row>
      <xdr:rowOff>30620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4295775"/>
          <a:ext cx="8563042" cy="4412120"/>
        </a:xfrm>
        <a:prstGeom prst="rect">
          <a:avLst/>
        </a:prstGeom>
      </xdr:spPr>
    </xdr:pic>
    <xdr:clientData/>
  </xdr:twoCellAnchor>
  <xdr:twoCellAnchor editAs="oneCell">
    <xdr:from>
      <xdr:col>1</xdr:col>
      <xdr:colOff>251163</xdr:colOff>
      <xdr:row>23</xdr:row>
      <xdr:rowOff>92835</xdr:rowOff>
    </xdr:from>
    <xdr:to>
      <xdr:col>7</xdr:col>
      <xdr:colOff>462323</xdr:colOff>
      <xdr:row>37</xdr:row>
      <xdr:rowOff>33693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b="43858"/>
        <a:stretch/>
      </xdr:blipFill>
      <xdr:spPr>
        <a:xfrm>
          <a:off x="2327613" y="4579110"/>
          <a:ext cx="4306910" cy="2607858"/>
        </a:xfrm>
        <a:prstGeom prst="rect">
          <a:avLst/>
        </a:prstGeom>
      </xdr:spPr>
    </xdr:pic>
    <xdr:clientData/>
  </xdr:twoCellAnchor>
  <xdr:twoCellAnchor editAs="oneCell">
    <xdr:from>
      <xdr:col>7</xdr:col>
      <xdr:colOff>462323</xdr:colOff>
      <xdr:row>25</xdr:row>
      <xdr:rowOff>93493</xdr:rowOff>
    </xdr:from>
    <xdr:to>
      <xdr:col>15</xdr:col>
      <xdr:colOff>140351</xdr:colOff>
      <xdr:row>36</xdr:row>
      <xdr:rowOff>150754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56178"/>
        <a:stretch/>
      </xdr:blipFill>
      <xdr:spPr>
        <a:xfrm>
          <a:off x="6634523" y="4960768"/>
          <a:ext cx="4554828" cy="2152761"/>
        </a:xfrm>
        <a:prstGeom prst="rect">
          <a:avLst/>
        </a:prstGeom>
      </xdr:spPr>
    </xdr:pic>
    <xdr:clientData/>
  </xdr:twoCellAnchor>
  <xdr:twoCellAnchor>
    <xdr:from>
      <xdr:col>9</xdr:col>
      <xdr:colOff>133350</xdr:colOff>
      <xdr:row>37</xdr:row>
      <xdr:rowOff>95250</xdr:rowOff>
    </xdr:from>
    <xdr:to>
      <xdr:col>16</xdr:col>
      <xdr:colOff>25540</xdr:colOff>
      <xdr:row>42</xdr:row>
      <xdr:rowOff>66080</xdr:rowOff>
    </xdr:to>
    <xdr:sp macro="" textlink="">
      <xdr:nvSpPr>
        <xdr:cNvPr id="5" name="TextBox 10">
          <a:extLst>
            <a:ext uri="{FF2B5EF4-FFF2-40B4-BE49-F238E27FC236}">
              <a16:creationId xmlns:a16="http://schemas.microsoft.com/office/drawing/2014/main" id="{00000000-0008-0000-0100-000005000000}"/>
            </a:ext>
          </a:extLst>
        </xdr:cNvPr>
        <xdr:cNvSpPr txBox="1"/>
      </xdr:nvSpPr>
      <xdr:spPr>
        <a:xfrm>
          <a:off x="7524750" y="7248525"/>
          <a:ext cx="4159390" cy="923330"/>
        </a:xfrm>
        <a:prstGeom prst="rect">
          <a:avLst/>
        </a:prstGeom>
        <a:solidFill>
          <a:schemeClr val="accent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1"/>
              </a:solidFill>
            </a:rPr>
            <a:t>Lead screw needs to be operated below 950 rpm! Actual operation speeds will be much lower than this</a:t>
          </a:r>
        </a:p>
      </xdr:txBody>
    </xdr:sp>
    <xdr:clientData/>
  </xdr:twoCellAnchor>
  <xdr:twoCellAnchor editAs="oneCell">
    <xdr:from>
      <xdr:col>5</xdr:col>
      <xdr:colOff>514529</xdr:colOff>
      <xdr:row>49</xdr:row>
      <xdr:rowOff>0</xdr:rowOff>
    </xdr:from>
    <xdr:to>
      <xdr:col>14</xdr:col>
      <xdr:colOff>458722</xdr:colOff>
      <xdr:row>57</xdr:row>
      <xdr:rowOff>112009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r="69279"/>
        <a:stretch/>
      </xdr:blipFill>
      <xdr:spPr>
        <a:xfrm rot="16200000">
          <a:off x="7364821" y="7541983"/>
          <a:ext cx="1636009" cy="5430593"/>
        </a:xfrm>
        <a:prstGeom prst="rect">
          <a:avLst/>
        </a:prstGeom>
      </xdr:spPr>
    </xdr:pic>
    <xdr:clientData/>
  </xdr:twoCellAnchor>
  <xdr:twoCellAnchor editAs="oneCell">
    <xdr:from>
      <xdr:col>0</xdr:col>
      <xdr:colOff>1</xdr:colOff>
      <xdr:row>48</xdr:row>
      <xdr:rowOff>175062</xdr:rowOff>
    </xdr:from>
    <xdr:to>
      <xdr:col>7</xdr:col>
      <xdr:colOff>165896</xdr:colOff>
      <xdr:row>71</xdr:row>
      <xdr:rowOff>81322</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l="31013"/>
        <a:stretch/>
      </xdr:blipFill>
      <xdr:spPr>
        <a:xfrm rot="16200000">
          <a:off x="1025169" y="8398669"/>
          <a:ext cx="4287760" cy="6338095"/>
        </a:xfrm>
        <a:prstGeom prst="rect">
          <a:avLst/>
        </a:prstGeom>
      </xdr:spPr>
    </xdr:pic>
    <xdr:clientData/>
  </xdr:twoCellAnchor>
  <xdr:twoCellAnchor editAs="oneCell">
    <xdr:from>
      <xdr:col>7</xdr:col>
      <xdr:colOff>102738</xdr:colOff>
      <xdr:row>56</xdr:row>
      <xdr:rowOff>116345</xdr:rowOff>
    </xdr:from>
    <xdr:to>
      <xdr:col>16</xdr:col>
      <xdr:colOff>201142</xdr:colOff>
      <xdr:row>77</xdr:row>
      <xdr:rowOff>26990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6274938" y="10889120"/>
          <a:ext cx="5584804" cy="3911145"/>
        </a:xfrm>
        <a:prstGeom prst="rect">
          <a:avLst/>
        </a:prstGeom>
      </xdr:spPr>
    </xdr:pic>
    <xdr:clientData/>
  </xdr:twoCellAnchor>
  <xdr:twoCellAnchor>
    <xdr:from>
      <xdr:col>8</xdr:col>
      <xdr:colOff>485712</xdr:colOff>
      <xdr:row>67</xdr:row>
      <xdr:rowOff>152400</xdr:rowOff>
    </xdr:from>
    <xdr:to>
      <xdr:col>11</xdr:col>
      <xdr:colOff>421318</xdr:colOff>
      <xdr:row>69</xdr:row>
      <xdr:rowOff>170645</xdr:rowOff>
    </xdr:to>
    <xdr:sp macro="" textlink="">
      <xdr:nvSpPr>
        <xdr:cNvPr id="9" name="Rectangle 8">
          <a:extLst>
            <a:ext uri="{FF2B5EF4-FFF2-40B4-BE49-F238E27FC236}">
              <a16:creationId xmlns:a16="http://schemas.microsoft.com/office/drawing/2014/main" id="{00000000-0008-0000-0100-000009000000}"/>
            </a:ext>
          </a:extLst>
        </xdr:cNvPr>
        <xdr:cNvSpPr/>
      </xdr:nvSpPr>
      <xdr:spPr>
        <a:xfrm>
          <a:off x="7267512" y="13020675"/>
          <a:ext cx="1764406" cy="39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xdr:col>
      <xdr:colOff>771525</xdr:colOff>
      <xdr:row>68</xdr:row>
      <xdr:rowOff>11205</xdr:rowOff>
    </xdr:from>
    <xdr:to>
      <xdr:col>7</xdr:col>
      <xdr:colOff>357302</xdr:colOff>
      <xdr:row>75</xdr:row>
      <xdr:rowOff>22304</xdr:rowOff>
    </xdr:to>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2847975" y="13069980"/>
          <a:ext cx="3681527" cy="1344599"/>
        </a:xfrm>
        <a:prstGeom prst="rect">
          <a:avLst/>
        </a:prstGeom>
        <a:solidFill>
          <a:srgbClr val="FFC000"/>
        </a:solidFill>
        <a:ln>
          <a:solidFill>
            <a:srgbClr val="FF000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600"/>
            <a:t>Actual force experienced by the leadscrew will be less as some of the misalignment will be absorbed by the wave spring in the carriage assembly. This force is assuming carriage was at center position</a:t>
          </a:r>
        </a:p>
      </xdr:txBody>
    </xdr:sp>
    <xdr:clientData/>
  </xdr:twoCellAnchor>
  <xdr:twoCellAnchor>
    <xdr:from>
      <xdr:col>7</xdr:col>
      <xdr:colOff>347778</xdr:colOff>
      <xdr:row>68</xdr:row>
      <xdr:rowOff>161523</xdr:rowOff>
    </xdr:from>
    <xdr:to>
      <xdr:col>8</xdr:col>
      <xdr:colOff>485712</xdr:colOff>
      <xdr:row>71</xdr:row>
      <xdr:rowOff>66821</xdr:rowOff>
    </xdr:to>
    <xdr:cxnSp macro="">
      <xdr:nvCxnSpPr>
        <xdr:cNvPr id="11" name="Straight Arrow Connector 10">
          <a:extLst>
            <a:ext uri="{FF2B5EF4-FFF2-40B4-BE49-F238E27FC236}">
              <a16:creationId xmlns:a16="http://schemas.microsoft.com/office/drawing/2014/main" id="{00000000-0008-0000-0100-00000B000000}"/>
            </a:ext>
          </a:extLst>
        </xdr:cNvPr>
        <xdr:cNvCxnSpPr>
          <a:endCxn id="9" idx="1"/>
        </xdr:cNvCxnSpPr>
      </xdr:nvCxnSpPr>
      <xdr:spPr>
        <a:xfrm flipV="1">
          <a:off x="6519978" y="13220298"/>
          <a:ext cx="747534" cy="4767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266700</xdr:colOff>
      <xdr:row>77</xdr:row>
      <xdr:rowOff>95250</xdr:rowOff>
    </xdr:from>
    <xdr:to>
      <xdr:col>5</xdr:col>
      <xdr:colOff>119935</xdr:colOff>
      <xdr:row>99</xdr:row>
      <xdr:rowOff>163178</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266700" y="14868525"/>
          <a:ext cx="4806235" cy="4258928"/>
        </a:xfrm>
        <a:prstGeom prst="rect">
          <a:avLst/>
        </a:prstGeom>
      </xdr:spPr>
    </xdr:pic>
    <xdr:clientData/>
  </xdr:twoCellAnchor>
  <xdr:twoCellAnchor editAs="oneCell">
    <xdr:from>
      <xdr:col>0</xdr:col>
      <xdr:colOff>0</xdr:colOff>
      <xdr:row>101</xdr:row>
      <xdr:rowOff>0</xdr:rowOff>
    </xdr:from>
    <xdr:to>
      <xdr:col>15</xdr:col>
      <xdr:colOff>338809</xdr:colOff>
      <xdr:row>131</xdr:row>
      <xdr:rowOff>21151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0" y="19345275"/>
          <a:ext cx="11387809" cy="5736151"/>
        </a:xfrm>
        <a:prstGeom prst="rect">
          <a:avLst/>
        </a:prstGeom>
      </xdr:spPr>
    </xdr:pic>
    <xdr:clientData/>
  </xdr:twoCellAnchor>
  <xdr:twoCellAnchor>
    <xdr:from>
      <xdr:col>0</xdr:col>
      <xdr:colOff>1163057</xdr:colOff>
      <xdr:row>103</xdr:row>
      <xdr:rowOff>140401</xdr:rowOff>
    </xdr:from>
    <xdr:to>
      <xdr:col>2</xdr:col>
      <xdr:colOff>420375</xdr:colOff>
      <xdr:row>127</xdr:row>
      <xdr:rowOff>94131</xdr:rowOff>
    </xdr:to>
    <xdr:sp macro="" textlink="">
      <xdr:nvSpPr>
        <xdr:cNvPr id="14" name="Rectangle 13">
          <a:extLst>
            <a:ext uri="{FF2B5EF4-FFF2-40B4-BE49-F238E27FC236}">
              <a16:creationId xmlns:a16="http://schemas.microsoft.com/office/drawing/2014/main" id="{00000000-0008-0000-0100-00000E000000}"/>
            </a:ext>
          </a:extLst>
        </xdr:cNvPr>
        <xdr:cNvSpPr/>
      </xdr:nvSpPr>
      <xdr:spPr>
        <a:xfrm>
          <a:off x="1163057" y="19866676"/>
          <a:ext cx="2381518" cy="45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0</xdr:col>
      <xdr:colOff>1163056</xdr:colOff>
      <xdr:row>103</xdr:row>
      <xdr:rowOff>3173</xdr:rowOff>
    </xdr:from>
    <xdr:to>
      <xdr:col>9</xdr:col>
      <xdr:colOff>604296</xdr:colOff>
      <xdr:row>104</xdr:row>
      <xdr:rowOff>182005</xdr:rowOff>
    </xdr:to>
    <xdr:sp macro="" textlink="">
      <xdr:nvSpPr>
        <xdr:cNvPr id="15" name="TextBox 5">
          <a:extLst>
            <a:ext uri="{FF2B5EF4-FFF2-40B4-BE49-F238E27FC236}">
              <a16:creationId xmlns:a16="http://schemas.microsoft.com/office/drawing/2014/main" id="{00000000-0008-0000-0100-00000F000000}"/>
            </a:ext>
          </a:extLst>
        </xdr:cNvPr>
        <xdr:cNvSpPr txBox="1"/>
      </xdr:nvSpPr>
      <xdr:spPr>
        <a:xfrm>
          <a:off x="1163056" y="19729448"/>
          <a:ext cx="683264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Misalignment Budget Analysis (for different positions of the carriage)</a:t>
          </a:r>
        </a:p>
      </xdr:txBody>
    </xdr:sp>
    <xdr:clientData/>
  </xdr:twoCellAnchor>
  <xdr:oneCellAnchor>
    <xdr:from>
      <xdr:col>5</xdr:col>
      <xdr:colOff>361950</xdr:colOff>
      <xdr:row>115</xdr:row>
      <xdr:rowOff>38100</xdr:rowOff>
    </xdr:from>
    <xdr:ext cx="6287299" cy="749821"/>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314950" y="22050375"/>
          <a:ext cx="6287299" cy="749821"/>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a:solidFill>
                <a:schemeClr val="bg1"/>
              </a:solidFill>
            </a:rPr>
            <a:t>I need to keep the misalignment</a:t>
          </a:r>
          <a:r>
            <a:rPr lang="en-IN" sz="1400" baseline="0">
              <a:solidFill>
                <a:schemeClr val="bg1"/>
              </a:solidFill>
            </a:rPr>
            <a:t> less than 0.0065 radians or 0.37 degrees!!</a:t>
          </a:r>
        </a:p>
        <a:p>
          <a:endParaRPr lang="en-IN" sz="1400" baseline="0">
            <a:solidFill>
              <a:schemeClr val="bg1"/>
            </a:solidFill>
          </a:endParaRPr>
        </a:p>
        <a:p>
          <a:r>
            <a:rPr lang="en-IN" sz="1400" baseline="0">
              <a:solidFill>
                <a:schemeClr val="bg1"/>
              </a:solidFill>
            </a:rPr>
            <a:t>Therefore, I have approximately 0.5 mm of max misalignment budget on either side</a:t>
          </a:r>
          <a:endParaRPr lang="en-IN" sz="1400">
            <a:solidFill>
              <a:schemeClr val="bg1"/>
            </a:solidFill>
          </a:endParaRPr>
        </a:p>
      </xdr:txBody>
    </xdr:sp>
    <xdr:clientData/>
  </xdr:oneCellAnchor>
  <xdr:twoCellAnchor editAs="oneCell">
    <xdr:from>
      <xdr:col>0</xdr:col>
      <xdr:colOff>1400175</xdr:colOff>
      <xdr:row>109</xdr:row>
      <xdr:rowOff>152400</xdr:rowOff>
    </xdr:from>
    <xdr:to>
      <xdr:col>4</xdr:col>
      <xdr:colOff>457200</xdr:colOff>
      <xdr:row>121</xdr:row>
      <xdr:rowOff>5602</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400175" y="21021675"/>
          <a:ext cx="3400425" cy="21392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6"/>
  <sheetViews>
    <sheetView tabSelected="1" workbookViewId="0">
      <selection activeCell="B41" sqref="B41"/>
    </sheetView>
  </sheetViews>
  <sheetFormatPr baseColWidth="10" defaultColWidth="8.83203125" defaultRowHeight="15" x14ac:dyDescent="0.2"/>
  <cols>
    <col min="1" max="1" width="75.5" customWidth="1"/>
    <col min="2" max="2" width="15.83203125" customWidth="1"/>
    <col min="4" max="4" width="11.5" customWidth="1"/>
  </cols>
  <sheetData>
    <row r="2" spans="1:13" ht="26" x14ac:dyDescent="0.3">
      <c r="A2" s="13" t="s">
        <v>118</v>
      </c>
      <c r="B2" s="3"/>
      <c r="C2" s="3"/>
      <c r="D2" s="3"/>
      <c r="E2" s="4"/>
      <c r="F2" s="4"/>
    </row>
    <row r="6" spans="1:13" ht="24" x14ac:dyDescent="0.3">
      <c r="A6" s="12" t="s">
        <v>48</v>
      </c>
    </row>
    <row r="8" spans="1:13" x14ac:dyDescent="0.2">
      <c r="A8" s="3" t="s">
        <v>0</v>
      </c>
      <c r="B8" s="4"/>
      <c r="C8" s="4"/>
    </row>
    <row r="9" spans="1:13" x14ac:dyDescent="0.2">
      <c r="B9" s="9"/>
      <c r="C9" s="9" t="s">
        <v>7</v>
      </c>
    </row>
    <row r="10" spans="1:13" x14ac:dyDescent="0.2">
      <c r="A10" s="8" t="s">
        <v>1</v>
      </c>
      <c r="B10" s="9" t="s">
        <v>2</v>
      </c>
      <c r="C10" s="9"/>
    </row>
    <row r="11" spans="1:13" x14ac:dyDescent="0.2">
      <c r="A11" s="8" t="s">
        <v>3</v>
      </c>
      <c r="B11" s="9" t="s">
        <v>4</v>
      </c>
      <c r="C11" s="9"/>
    </row>
    <row r="12" spans="1:13" x14ac:dyDescent="0.2">
      <c r="A12" s="8" t="s">
        <v>5</v>
      </c>
      <c r="B12" s="9">
        <v>4</v>
      </c>
      <c r="C12" s="9" t="s">
        <v>6</v>
      </c>
    </row>
    <row r="13" spans="1:13" x14ac:dyDescent="0.2">
      <c r="A13" s="8" t="s">
        <v>8</v>
      </c>
      <c r="B13" s="9">
        <v>3390</v>
      </c>
      <c r="C13" s="9" t="s">
        <v>9</v>
      </c>
    </row>
    <row r="14" spans="1:13" x14ac:dyDescent="0.2">
      <c r="A14" s="8" t="s">
        <v>0</v>
      </c>
      <c r="B14" s="10">
        <f>B13*100/B12</f>
        <v>84750</v>
      </c>
      <c r="C14" s="9" t="s">
        <v>10</v>
      </c>
      <c r="D14" s="21" t="s">
        <v>120</v>
      </c>
      <c r="E14" s="21"/>
      <c r="F14" s="21"/>
      <c r="G14" s="21"/>
      <c r="H14" s="21"/>
      <c r="I14" s="21"/>
      <c r="J14" s="21"/>
      <c r="K14" s="21"/>
      <c r="L14" s="21"/>
      <c r="M14" s="21"/>
    </row>
    <row r="15" spans="1:13" x14ac:dyDescent="0.2">
      <c r="B15" s="9"/>
      <c r="C15" s="9"/>
    </row>
    <row r="16" spans="1:13" x14ac:dyDescent="0.2">
      <c r="A16" s="3" t="s">
        <v>11</v>
      </c>
      <c r="B16" s="11"/>
      <c r="C16" s="11"/>
    </row>
    <row r="17" spans="1:3" x14ac:dyDescent="0.2">
      <c r="B17" s="9"/>
      <c r="C17" s="9" t="s">
        <v>7</v>
      </c>
    </row>
    <row r="18" spans="1:3" x14ac:dyDescent="0.2">
      <c r="A18" s="8" t="s">
        <v>12</v>
      </c>
      <c r="B18" s="9" t="s">
        <v>13</v>
      </c>
      <c r="C18" s="9"/>
    </row>
    <row r="19" spans="1:3" x14ac:dyDescent="0.2">
      <c r="A19" s="8" t="s">
        <v>14</v>
      </c>
      <c r="B19" s="9">
        <v>69</v>
      </c>
      <c r="C19" s="9" t="s">
        <v>15</v>
      </c>
    </row>
    <row r="20" spans="1:3" x14ac:dyDescent="0.2">
      <c r="A20" s="8" t="s">
        <v>19</v>
      </c>
      <c r="B20" s="9">
        <v>13</v>
      </c>
      <c r="C20" s="9" t="s">
        <v>6</v>
      </c>
    </row>
    <row r="21" spans="1:3" x14ac:dyDescent="0.2">
      <c r="A21" s="8" t="s">
        <v>17</v>
      </c>
      <c r="B21" s="9">
        <v>50</v>
      </c>
      <c r="C21" s="9" t="s">
        <v>6</v>
      </c>
    </row>
    <row r="22" spans="1:3" x14ac:dyDescent="0.2">
      <c r="A22" s="8" t="s">
        <v>18</v>
      </c>
      <c r="B22" s="9">
        <v>20</v>
      </c>
      <c r="C22" s="9" t="s">
        <v>6</v>
      </c>
    </row>
    <row r="23" spans="1:3" x14ac:dyDescent="0.2">
      <c r="A23" s="8" t="s">
        <v>16</v>
      </c>
      <c r="B23" s="14">
        <f>B21*B20^3/12</f>
        <v>9154.1666666666661</v>
      </c>
      <c r="C23" s="9" t="s">
        <v>20</v>
      </c>
    </row>
    <row r="24" spans="1:3" x14ac:dyDescent="0.2">
      <c r="A24" s="8" t="s">
        <v>21</v>
      </c>
      <c r="B24" s="14">
        <f>3*B19*B23/(B22^3)</f>
        <v>236.86406249999996</v>
      </c>
      <c r="C24" s="9" t="s">
        <v>10</v>
      </c>
    </row>
    <row r="26" spans="1:3" x14ac:dyDescent="0.2">
      <c r="A26" s="3" t="s">
        <v>22</v>
      </c>
      <c r="B26" s="3"/>
      <c r="C26" s="3"/>
    </row>
    <row r="27" spans="1:3" x14ac:dyDescent="0.2">
      <c r="C27" s="9" t="s">
        <v>7</v>
      </c>
    </row>
    <row r="28" spans="1:3" x14ac:dyDescent="0.2">
      <c r="A28" t="s">
        <v>23</v>
      </c>
      <c r="B28">
        <v>30</v>
      </c>
      <c r="C28" s="9" t="s">
        <v>24</v>
      </c>
    </row>
    <row r="29" spans="1:3" x14ac:dyDescent="0.2">
      <c r="A29" t="s">
        <v>30</v>
      </c>
      <c r="B29" s="6">
        <f>(B28/180)*3.142</f>
        <v>0.52366666666666661</v>
      </c>
      <c r="C29" s="9"/>
    </row>
    <row r="30" spans="1:3" x14ac:dyDescent="0.2">
      <c r="A30" t="s">
        <v>26</v>
      </c>
      <c r="B30" t="s">
        <v>13</v>
      </c>
    </row>
    <row r="31" spans="1:3" x14ac:dyDescent="0.2">
      <c r="A31" t="s">
        <v>25</v>
      </c>
      <c r="B31">
        <v>69000</v>
      </c>
      <c r="C31" t="s">
        <v>15</v>
      </c>
    </row>
    <row r="32" spans="1:3" x14ac:dyDescent="0.2">
      <c r="A32" t="s">
        <v>36</v>
      </c>
      <c r="B32" t="s">
        <v>38</v>
      </c>
    </row>
    <row r="33" spans="1:13" x14ac:dyDescent="0.2">
      <c r="A33" t="s">
        <v>37</v>
      </c>
      <c r="B33">
        <v>9000</v>
      </c>
      <c r="C33" t="s">
        <v>39</v>
      </c>
    </row>
    <row r="34" spans="1:13" x14ac:dyDescent="0.2">
      <c r="A34" t="s">
        <v>27</v>
      </c>
      <c r="B34">
        <v>7</v>
      </c>
      <c r="C34" t="s">
        <v>6</v>
      </c>
    </row>
    <row r="35" spans="1:13" x14ac:dyDescent="0.2">
      <c r="A35" t="s">
        <v>35</v>
      </c>
      <c r="B35">
        <v>7</v>
      </c>
      <c r="C35" t="s">
        <v>6</v>
      </c>
    </row>
    <row r="36" spans="1:13" ht="13.5" customHeight="1" x14ac:dyDescent="0.2">
      <c r="A36" t="s">
        <v>31</v>
      </c>
      <c r="B36">
        <v>5</v>
      </c>
      <c r="C36" t="s">
        <v>6</v>
      </c>
    </row>
    <row r="37" spans="1:13" x14ac:dyDescent="0.2">
      <c r="A37" t="s">
        <v>28</v>
      </c>
      <c r="B37">
        <v>3</v>
      </c>
      <c r="C37" t="s">
        <v>6</v>
      </c>
    </row>
    <row r="38" spans="1:13" x14ac:dyDescent="0.2">
      <c r="A38" s="8" t="s">
        <v>32</v>
      </c>
    </row>
    <row r="39" spans="1:13" x14ac:dyDescent="0.2">
      <c r="A39" t="s">
        <v>33</v>
      </c>
      <c r="B39">
        <v>0.21</v>
      </c>
    </row>
    <row r="40" spans="1:13" x14ac:dyDescent="0.2">
      <c r="A40" t="s">
        <v>29</v>
      </c>
      <c r="B40" s="16">
        <f>(4/(B31*3.142))*B39</f>
        <v>3.8745744886945449E-6</v>
      </c>
      <c r="C40" t="s">
        <v>41</v>
      </c>
    </row>
    <row r="41" spans="1:13" x14ac:dyDescent="0.2">
      <c r="A41" t="s">
        <v>34</v>
      </c>
      <c r="B41" s="16">
        <f>(4/(B33*3.142))*B39</f>
        <v>2.9705071079991513E-5</v>
      </c>
      <c r="C41" t="s">
        <v>41</v>
      </c>
    </row>
    <row r="42" spans="1:13" x14ac:dyDescent="0.2">
      <c r="A42" t="s">
        <v>40</v>
      </c>
      <c r="B42" s="16">
        <f>B40+B41</f>
        <v>3.3579645568686058E-5</v>
      </c>
      <c r="C42" t="s">
        <v>41</v>
      </c>
    </row>
    <row r="43" spans="1:13" x14ac:dyDescent="0.2">
      <c r="A43" t="s">
        <v>60</v>
      </c>
      <c r="B43" s="16">
        <f>1/B42</f>
        <v>29779.945054945056</v>
      </c>
      <c r="C43" t="s">
        <v>10</v>
      </c>
      <c r="D43" s="2" t="s">
        <v>42</v>
      </c>
      <c r="E43" s="1"/>
      <c r="F43" s="1"/>
      <c r="G43" s="1"/>
      <c r="H43" s="21" t="s">
        <v>121</v>
      </c>
    </row>
    <row r="44" spans="1:13" ht="54.75" customHeight="1" x14ac:dyDescent="0.2">
      <c r="D44" s="22" t="s">
        <v>47</v>
      </c>
      <c r="E44" s="22"/>
      <c r="F44" s="22"/>
      <c r="G44" s="22"/>
      <c r="H44" s="22"/>
      <c r="I44" s="22"/>
      <c r="J44" s="22"/>
      <c r="K44" s="22"/>
      <c r="L44" s="22"/>
      <c r="M44" s="22"/>
    </row>
    <row r="45" spans="1:13" x14ac:dyDescent="0.2">
      <c r="A45" s="17" t="s">
        <v>43</v>
      </c>
      <c r="B45" s="17"/>
      <c r="C45" s="17"/>
    </row>
    <row r="46" spans="1:13" x14ac:dyDescent="0.2">
      <c r="A46" t="s">
        <v>44</v>
      </c>
      <c r="B46" s="16">
        <f>1/B14</f>
        <v>1.1799410029498525E-5</v>
      </c>
      <c r="C46" t="s">
        <v>41</v>
      </c>
    </row>
    <row r="47" spans="1:13" x14ac:dyDescent="0.2">
      <c r="A47" t="s">
        <v>45</v>
      </c>
      <c r="B47" s="16">
        <f>1/B24</f>
        <v>4.2218308233229777E-3</v>
      </c>
      <c r="C47" t="s">
        <v>41</v>
      </c>
    </row>
    <row r="48" spans="1:13" x14ac:dyDescent="0.2">
      <c r="A48" t="s">
        <v>61</v>
      </c>
      <c r="B48" s="15">
        <v>6</v>
      </c>
      <c r="C48" t="s">
        <v>6</v>
      </c>
    </row>
    <row r="49" spans="1:3" x14ac:dyDescent="0.2">
      <c r="A49" t="s">
        <v>62</v>
      </c>
      <c r="B49" s="16">
        <f>(B43*B48^2)/12</f>
        <v>89339.835164835167</v>
      </c>
      <c r="C49" t="s">
        <v>63</v>
      </c>
    </row>
    <row r="50" spans="1:3" x14ac:dyDescent="0.2">
      <c r="A50" t="s">
        <v>64</v>
      </c>
      <c r="B50" s="16">
        <f>1/B49</f>
        <v>1.1193215189562019E-5</v>
      </c>
      <c r="C50" t="s">
        <v>65</v>
      </c>
    </row>
    <row r="51" spans="1:3" x14ac:dyDescent="0.2">
      <c r="A51" t="s">
        <v>66</v>
      </c>
      <c r="B51" s="16">
        <f>B50*(B22)^2</f>
        <v>4.4772860758248078E-3</v>
      </c>
      <c r="C51" t="s">
        <v>41</v>
      </c>
    </row>
    <row r="52" spans="1:3" x14ac:dyDescent="0.2">
      <c r="A52" t="s">
        <v>46</v>
      </c>
      <c r="B52" s="16">
        <f>SUM(B46+B47+B51)</f>
        <v>8.7109163091772836E-3</v>
      </c>
      <c r="C52" t="s">
        <v>41</v>
      </c>
    </row>
    <row r="53" spans="1:3" x14ac:dyDescent="0.2">
      <c r="A53" t="s">
        <v>68</v>
      </c>
      <c r="B53" s="15">
        <f>1/B52</f>
        <v>114.79848554467935</v>
      </c>
      <c r="C53" t="s">
        <v>10</v>
      </c>
    </row>
    <row r="57" spans="1:3" x14ac:dyDescent="0.2">
      <c r="A57" s="8" t="s">
        <v>49</v>
      </c>
    </row>
    <row r="58" spans="1:3" x14ac:dyDescent="0.2">
      <c r="A58" s="3" t="s">
        <v>119</v>
      </c>
      <c r="B58" s="4"/>
      <c r="C58" s="4"/>
    </row>
    <row r="59" spans="1:3" x14ac:dyDescent="0.2">
      <c r="A59" t="s">
        <v>50</v>
      </c>
      <c r="B59">
        <v>20</v>
      </c>
      <c r="C59" t="s">
        <v>9</v>
      </c>
    </row>
    <row r="60" spans="1:3" x14ac:dyDescent="0.2">
      <c r="A60" t="s">
        <v>51</v>
      </c>
      <c r="B60">
        <v>22</v>
      </c>
      <c r="C60" t="s">
        <v>6</v>
      </c>
    </row>
    <row r="61" spans="1:3" x14ac:dyDescent="0.2">
      <c r="A61" t="s">
        <v>52</v>
      </c>
      <c r="B61" s="5">
        <f>B60*B59</f>
        <v>440</v>
      </c>
      <c r="C61" t="s">
        <v>53</v>
      </c>
    </row>
    <row r="62" spans="1:3" x14ac:dyDescent="0.2">
      <c r="A62" t="s">
        <v>55</v>
      </c>
      <c r="B62">
        <v>5</v>
      </c>
      <c r="C62" t="s">
        <v>56</v>
      </c>
    </row>
    <row r="63" spans="1:3" x14ac:dyDescent="0.2">
      <c r="A63" t="s">
        <v>54</v>
      </c>
      <c r="B63" s="18">
        <f>B62*12.7/1000</f>
        <v>6.3500000000000001E-2</v>
      </c>
      <c r="C63" t="s">
        <v>6</v>
      </c>
    </row>
    <row r="64" spans="1:3" x14ac:dyDescent="0.2">
      <c r="A64" t="s">
        <v>57</v>
      </c>
      <c r="B64" s="19">
        <f>(B63/B60)*1000</f>
        <v>2.8863636363636367</v>
      </c>
      <c r="C64" t="s">
        <v>58</v>
      </c>
    </row>
    <row r="65" spans="1:4" x14ac:dyDescent="0.2">
      <c r="A65" t="s">
        <v>69</v>
      </c>
      <c r="B65" s="19">
        <f>B61/B64</f>
        <v>152.44094488188975</v>
      </c>
      <c r="C65" t="s">
        <v>59</v>
      </c>
    </row>
    <row r="66" spans="1:4" x14ac:dyDescent="0.2">
      <c r="A66" t="s">
        <v>67</v>
      </c>
      <c r="B66" s="19">
        <f>20/B63</f>
        <v>314.96062992125985</v>
      </c>
      <c r="C66" t="s">
        <v>10</v>
      </c>
      <c r="D66" s="21" t="s">
        <v>122</v>
      </c>
    </row>
  </sheetData>
  <mergeCells count="1">
    <mergeCell ref="D44:M4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52"/>
  <sheetViews>
    <sheetView workbookViewId="0">
      <selection activeCell="B155" sqref="B155"/>
    </sheetView>
  </sheetViews>
  <sheetFormatPr baseColWidth="10" defaultColWidth="8.83203125" defaultRowHeight="15" x14ac:dyDescent="0.2"/>
  <cols>
    <col min="1" max="1" width="31.1640625" customWidth="1"/>
    <col min="2" max="2" width="15.6640625" customWidth="1"/>
  </cols>
  <sheetData>
    <row r="3" spans="1:4" ht="24" x14ac:dyDescent="0.3">
      <c r="A3" s="12" t="s">
        <v>70</v>
      </c>
    </row>
    <row r="5" spans="1:4" x14ac:dyDescent="0.2">
      <c r="A5" t="s">
        <v>71</v>
      </c>
      <c r="B5" t="s">
        <v>72</v>
      </c>
      <c r="C5" t="s">
        <v>7</v>
      </c>
    </row>
    <row r="6" spans="1:4" x14ac:dyDescent="0.2">
      <c r="A6" t="s">
        <v>73</v>
      </c>
      <c r="B6">
        <v>200000</v>
      </c>
      <c r="C6" t="s">
        <v>15</v>
      </c>
    </row>
    <row r="9" spans="1:4" x14ac:dyDescent="0.2">
      <c r="A9" s="3" t="s">
        <v>76</v>
      </c>
      <c r="B9" s="3"/>
      <c r="C9" s="3"/>
    </row>
    <row r="10" spans="1:4" x14ac:dyDescent="0.2">
      <c r="A10" t="s">
        <v>83</v>
      </c>
      <c r="B10">
        <v>5.5</v>
      </c>
      <c r="C10" t="s">
        <v>6</v>
      </c>
      <c r="D10" t="s">
        <v>74</v>
      </c>
    </row>
    <row r="11" spans="1:4" x14ac:dyDescent="0.2">
      <c r="A11" t="s">
        <v>16</v>
      </c>
      <c r="B11" s="7">
        <f>(3.142/64)*(B10)^4</f>
        <v>44.923849609374997</v>
      </c>
      <c r="C11" t="s">
        <v>20</v>
      </c>
    </row>
    <row r="12" spans="1:4" x14ac:dyDescent="0.2">
      <c r="A12" t="s">
        <v>75</v>
      </c>
      <c r="B12">
        <v>115</v>
      </c>
      <c r="C12" t="s">
        <v>6</v>
      </c>
    </row>
    <row r="13" spans="1:4" x14ac:dyDescent="0.2">
      <c r="A13" t="s">
        <v>77</v>
      </c>
      <c r="B13" s="20">
        <f>4*(3.142^2)*B6*B11/(B12^2)</f>
        <v>26827.71180975945</v>
      </c>
      <c r="C13" t="s">
        <v>9</v>
      </c>
    </row>
    <row r="14" spans="1:4" x14ac:dyDescent="0.2">
      <c r="A14" t="s">
        <v>79</v>
      </c>
      <c r="B14">
        <v>16.8</v>
      </c>
      <c r="C14" t="s">
        <v>9</v>
      </c>
    </row>
    <row r="15" spans="1:4" x14ac:dyDescent="0.2">
      <c r="A15" t="s">
        <v>80</v>
      </c>
      <c r="B15">
        <v>47</v>
      </c>
      <c r="C15" t="s">
        <v>9</v>
      </c>
    </row>
    <row r="16" spans="1:4" x14ac:dyDescent="0.2">
      <c r="A16" t="s">
        <v>81</v>
      </c>
      <c r="B16">
        <v>0.3</v>
      </c>
    </row>
    <row r="17" spans="1:3" x14ac:dyDescent="0.2">
      <c r="A17" t="s">
        <v>78</v>
      </c>
      <c r="B17">
        <f>B14+(B15*B16)</f>
        <v>30.9</v>
      </c>
      <c r="C17" t="s">
        <v>9</v>
      </c>
    </row>
    <row r="19" spans="1:3" x14ac:dyDescent="0.2">
      <c r="A19" t="s">
        <v>82</v>
      </c>
    </row>
    <row r="21" spans="1:3" x14ac:dyDescent="0.2">
      <c r="A21" s="3" t="s">
        <v>84</v>
      </c>
      <c r="B21" s="3"/>
      <c r="C21" s="3"/>
    </row>
    <row r="48" spans="1:3" x14ac:dyDescent="0.2">
      <c r="A48" s="3" t="s">
        <v>85</v>
      </c>
      <c r="B48" s="3"/>
      <c r="C48" s="3"/>
    </row>
    <row r="134" spans="1:5" x14ac:dyDescent="0.2">
      <c r="A134" s="3" t="s">
        <v>86</v>
      </c>
      <c r="B134" s="3"/>
      <c r="C134" s="3"/>
    </row>
    <row r="136" spans="1:5" x14ac:dyDescent="0.2">
      <c r="A136" t="s">
        <v>87</v>
      </c>
      <c r="B136">
        <v>4</v>
      </c>
      <c r="C136" t="s">
        <v>6</v>
      </c>
    </row>
    <row r="137" spans="1:5" x14ac:dyDescent="0.2">
      <c r="A137" t="s">
        <v>92</v>
      </c>
      <c r="B137">
        <v>15</v>
      </c>
      <c r="C137" t="s">
        <v>93</v>
      </c>
      <c r="E137" t="s">
        <v>105</v>
      </c>
    </row>
    <row r="138" spans="1:5" x14ac:dyDescent="0.2">
      <c r="A138" t="s">
        <v>102</v>
      </c>
      <c r="B138" s="6">
        <f>B137*3.142/180</f>
        <v>0.26183333333333331</v>
      </c>
      <c r="E138" t="s">
        <v>106</v>
      </c>
    </row>
    <row r="139" spans="1:5" x14ac:dyDescent="0.2">
      <c r="A139" t="s">
        <v>94</v>
      </c>
      <c r="B139" t="s">
        <v>95</v>
      </c>
      <c r="E139" t="s">
        <v>107</v>
      </c>
    </row>
    <row r="140" spans="1:5" x14ac:dyDescent="0.2">
      <c r="A140" t="s">
        <v>96</v>
      </c>
      <c r="B140">
        <v>7.25</v>
      </c>
      <c r="E140" t="s">
        <v>108</v>
      </c>
    </row>
    <row r="141" spans="1:5" x14ac:dyDescent="0.2">
      <c r="A141" t="s">
        <v>88</v>
      </c>
      <c r="B141" t="s">
        <v>89</v>
      </c>
    </row>
    <row r="142" spans="1:5" x14ac:dyDescent="0.2">
      <c r="A142" t="s">
        <v>90</v>
      </c>
      <c r="B142" t="s">
        <v>72</v>
      </c>
    </row>
    <row r="143" spans="1:5" x14ac:dyDescent="0.2">
      <c r="A143" t="s">
        <v>91</v>
      </c>
      <c r="B143">
        <v>0.3</v>
      </c>
    </row>
    <row r="144" spans="1:5" x14ac:dyDescent="0.2">
      <c r="A144" t="s">
        <v>97</v>
      </c>
      <c r="B144">
        <v>300</v>
      </c>
      <c r="C144" t="s">
        <v>6</v>
      </c>
    </row>
    <row r="145" spans="1:3" x14ac:dyDescent="0.2">
      <c r="A145" t="s">
        <v>98</v>
      </c>
      <c r="B145" t="s">
        <v>99</v>
      </c>
    </row>
    <row r="147" spans="1:3" x14ac:dyDescent="0.2">
      <c r="A147" s="3" t="s">
        <v>100</v>
      </c>
      <c r="B147" s="3"/>
      <c r="C147" s="3"/>
    </row>
    <row r="149" spans="1:3" x14ac:dyDescent="0.2">
      <c r="A149" t="s">
        <v>101</v>
      </c>
      <c r="B149" s="7">
        <f>3.14*B143*B140/(COS(B138))</f>
        <v>7.0704829890242094</v>
      </c>
      <c r="C149" t="s">
        <v>6</v>
      </c>
    </row>
    <row r="150" spans="1:3" x14ac:dyDescent="0.2">
      <c r="A150" t="s">
        <v>103</v>
      </c>
      <c r="B150">
        <v>4</v>
      </c>
      <c r="C150" t="s">
        <v>6</v>
      </c>
    </row>
    <row r="152" spans="1:3" x14ac:dyDescent="0.2">
      <c r="A152" t="s">
        <v>104</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1"/>
  <sheetViews>
    <sheetView workbookViewId="0">
      <selection activeCell="A13" sqref="A13"/>
    </sheetView>
  </sheetViews>
  <sheetFormatPr baseColWidth="10" defaultColWidth="8.83203125" defaultRowHeight="15" x14ac:dyDescent="0.2"/>
  <cols>
    <col min="1" max="1" width="45.5" customWidth="1"/>
  </cols>
  <sheetData>
    <row r="2" spans="1:3" ht="24" x14ac:dyDescent="0.3">
      <c r="A2" s="12" t="s">
        <v>109</v>
      </c>
    </row>
    <row r="3" spans="1:3" x14ac:dyDescent="0.2">
      <c r="C3" t="s">
        <v>7</v>
      </c>
    </row>
    <row r="4" spans="1:3" x14ac:dyDescent="0.2">
      <c r="A4" t="s">
        <v>110</v>
      </c>
      <c r="B4">
        <f>'Leadscrew Calculations'!B15*'Leadscrew Calculations'!B16</f>
        <v>14.1</v>
      </c>
      <c r="C4" t="s">
        <v>9</v>
      </c>
    </row>
    <row r="5" spans="1:3" x14ac:dyDescent="0.2">
      <c r="A5" t="s">
        <v>111</v>
      </c>
      <c r="B5">
        <v>16.8</v>
      </c>
      <c r="C5" t="s">
        <v>9</v>
      </c>
    </row>
    <row r="6" spans="1:3" x14ac:dyDescent="0.2">
      <c r="A6" t="s">
        <v>112</v>
      </c>
      <c r="B6">
        <f>SUM(B4:B5)</f>
        <v>30.9</v>
      </c>
      <c r="C6" t="s">
        <v>9</v>
      </c>
    </row>
    <row r="7" spans="1:3" x14ac:dyDescent="0.2">
      <c r="A7" t="s">
        <v>113</v>
      </c>
      <c r="B7">
        <f>'Leadscrew Calculations'!B136</f>
        <v>4</v>
      </c>
      <c r="C7" t="s">
        <v>6</v>
      </c>
    </row>
    <row r="8" spans="1:3" x14ac:dyDescent="0.2">
      <c r="A8" t="s">
        <v>114</v>
      </c>
      <c r="B8">
        <v>0.3</v>
      </c>
    </row>
    <row r="9" spans="1:3" x14ac:dyDescent="0.2">
      <c r="A9" t="s">
        <v>115</v>
      </c>
      <c r="B9" s="7">
        <f>B6*B7/(2*3.142*B8)</f>
        <v>65.563335455124133</v>
      </c>
      <c r="C9" t="s">
        <v>53</v>
      </c>
    </row>
    <row r="10" spans="1:3" x14ac:dyDescent="0.2">
      <c r="A10" t="s">
        <v>116</v>
      </c>
      <c r="B10">
        <v>1</v>
      </c>
      <c r="C10" t="s">
        <v>9</v>
      </c>
    </row>
    <row r="11" spans="1:3" x14ac:dyDescent="0.2">
      <c r="A11" t="s">
        <v>117</v>
      </c>
      <c r="B11" s="7">
        <f>B9/B10</f>
        <v>65.563335455124133</v>
      </c>
      <c r="C11"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Stiffness Calculations</vt:lpstr>
      <vt:lpstr>Leadscrew Calculations</vt:lpstr>
      <vt:lpstr>Handwheel Selection</vt:lpstr>
    </vt:vector>
  </TitlesOfParts>
  <Company>Massachusetts Institute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Akshay</dc:creator>
  <cp:lastModifiedBy>Microsoft Office User</cp:lastModifiedBy>
  <dcterms:created xsi:type="dcterms:W3CDTF">2018-04-18T23:44:05Z</dcterms:created>
  <dcterms:modified xsi:type="dcterms:W3CDTF">2018-04-23T11:14:41Z</dcterms:modified>
</cp:coreProperties>
</file>